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ata" sheetId="1" r:id="rId4"/>
    <sheet name="Word &amp; Sacrament - no parsonage" sheetId="2" r:id="rId5"/>
    <sheet name="Word &amp; Sacrament - parsonage" sheetId="3" r:id="rId6"/>
    <sheet name="Word &amp; Service" sheetId="4" r:id="rId7"/>
  </sheets>
</workbook>
</file>

<file path=xl/sharedStrings.xml><?xml version="1.0" encoding="utf-8"?>
<sst xmlns="http://schemas.openxmlformats.org/spreadsheetml/2006/main" uniqueCount="56">
  <si>
    <t>2026 Metro D.C. Synod Clergy Salary Range Development Data Requirements</t>
  </si>
  <si>
    <t>Instructions</t>
  </si>
  <si>
    <t>1.  Enter requested data in Green Boxes below</t>
  </si>
  <si>
    <t>2.  When complete, print calculated worksheet on next page</t>
  </si>
  <si>
    <t xml:space="preserve">      Do not enter data directly onto worksheets</t>
  </si>
  <si>
    <t>Figures entered directly from compensation guidelines document</t>
  </si>
  <si>
    <t>Unadjusted minimum salary</t>
  </si>
  <si>
    <t>data already entered on appropriate worksheet</t>
  </si>
  <si>
    <t>Minimum housing price</t>
  </si>
  <si>
    <t>Figures entered by congregation</t>
  </si>
  <si>
    <t>Associate pastor? (yes or no)</t>
  </si>
  <si>
    <t>carries to Box 7</t>
  </si>
  <si>
    <t>Median single-family home price</t>
  </si>
  <si>
    <t>carries to Box 2</t>
  </si>
  <si>
    <t>Years of pastoral experience</t>
  </si>
  <si>
    <t>carries to Box 6</t>
  </si>
  <si>
    <t>Average worship attendance</t>
  </si>
  <si>
    <t>Number of advanced degrees (beyond Master of Divinity)</t>
  </si>
  <si>
    <t>carries to Box 8</t>
  </si>
  <si>
    <t>Years of service in current call (New Call Enter 0)</t>
  </si>
  <si>
    <t>carries to Box 9</t>
  </si>
  <si>
    <t>Years of related non-pastoral experience</t>
  </si>
  <si>
    <t>carries to Box 10</t>
  </si>
  <si>
    <t>Updated: June 2024</t>
  </si>
  <si>
    <t>ROSTERED MINISTERS OF WORD AND SACRAMENT SALARY RANGE DEVELOPMENT WORKSHEET</t>
  </si>
  <si>
    <t>Metropolitan Washington, D.C Synod of the ELCA - 2026</t>
  </si>
  <si>
    <t>DO NOT ENTER DATA ON THIS SHEET. DATA SHOULD BE ENTERED IN "DATA" TAB.</t>
  </si>
  <si>
    <t>Section 1:  Unadjusted Minimum Salary</t>
  </si>
  <si>
    <t>Box</t>
  </si>
  <si>
    <t>Unadjusted Minimum Salary</t>
  </si>
  <si>
    <t>3% increase</t>
  </si>
  <si>
    <t>not in a parsonage</t>
  </si>
  <si>
    <t>Section 2:  Regional Cost of Living Salary Modifier</t>
  </si>
  <si>
    <t>Median Housing Cost</t>
  </si>
  <si>
    <t>Cost Over Threshold (subtract $250,000 from box 2)</t>
  </si>
  <si>
    <t>Housing cost adjustment (multiply box 3 by 0.03)</t>
  </si>
  <si>
    <t>Regionally Modified Minimum Salary (add boxes 1 and 4)</t>
  </si>
  <si>
    <t>Section 3:  Determining Salary Adjustment</t>
  </si>
  <si>
    <t>Years of Pastoral Experience (maximum 15)</t>
  </si>
  <si>
    <t>Worship Attendance</t>
  </si>
  <si>
    <t>Advanced Education</t>
  </si>
  <si>
    <t>Longevity in Current Call (maximum 5 points)</t>
  </si>
  <si>
    <t>Related Non-Pastoral Experience (maximum 5 points)</t>
  </si>
  <si>
    <t>Total Points (Add boxes 6 through 10)</t>
  </si>
  <si>
    <t>Salary Adjustment (multiply box 11 by 1% of Box 1)</t>
  </si>
  <si>
    <t>Section 4:  Determining Clergy Salary Range</t>
  </si>
  <si>
    <t>Minimum Salary  (add boxes 5 and 12)</t>
  </si>
  <si>
    <t>Median Salary (multiply box 13 by 1.15)</t>
  </si>
  <si>
    <t>Upper Salary (multiply box 13 by 1.30)</t>
  </si>
  <si>
    <t>Mutually-Negotiated Pastoral Salary</t>
  </si>
  <si>
    <t>Updated: June 2025</t>
  </si>
  <si>
    <t>in a parsonage</t>
  </si>
  <si>
    <t>Housing Equity Allowance (multiply box 3 by 0.03 then by .3)</t>
  </si>
  <si>
    <t>Years of Pastoral Experience (maximum 15 points)</t>
  </si>
  <si>
    <t>ROSTERED MINISTERS OF WORD AND SERVICE SALARY RANGE DEVELOPMENT WORKSHEET</t>
  </si>
  <si>
    <t>Salary Adjustment (multiply box 11 by 1% of box 1)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</si>
</sst>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 &quot;&quot;$&quot;* #,##0&quot; &quot;;&quot; &quot;&quot;$&quot;* (#,##0);&quot; &quot;&quot;$&quot;* &quot;-&quot;??&quot; &quot;"/>
    <numFmt numFmtId="60" formatCode="&quot; &quot;* #,##0&quot; &quot;;&quot; &quot;* (#,##0);&quot; &quot;* &quot;-&quot;??&quot; &quot;"/>
  </numFmts>
  <fonts count="10">
    <font>
      <sz val="10"/>
      <color indexed="8"/>
      <name val="Verdana"/>
    </font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8"/>
      <name val="Arial"/>
    </font>
    <font>
      <sz val="10"/>
      <color indexed="8"/>
      <name val="Arial"/>
    </font>
    <font>
      <b val="1"/>
      <u val="single"/>
      <sz val="12"/>
      <color indexed="8"/>
      <name val="Arial"/>
    </font>
    <font>
      <b val="1"/>
      <sz val="10"/>
      <color indexed="8"/>
      <name val="Arial"/>
    </font>
    <font>
      <i val="1"/>
      <u val="single"/>
      <sz val="12"/>
      <color indexed="8"/>
      <name val="Arial"/>
    </font>
    <font>
      <i val="1"/>
      <sz val="10"/>
      <color indexed="8"/>
      <name val="Arial"/>
    </font>
    <font>
      <b val="1"/>
      <sz val="10"/>
      <color indexed="1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horizontal="left" vertical="bottom"/>
    </xf>
    <xf numFmtId="49" fontId="4" fillId="2" borderId="1" applyNumberFormat="1" applyFont="1" applyFill="1" applyBorder="1" applyAlignment="1" applyProtection="0">
      <alignment horizontal="left" vertical="bottom"/>
    </xf>
    <xf numFmtId="49" fontId="6" fillId="2" borderId="1" applyNumberFormat="1" applyFont="1" applyFill="1" applyBorder="1" applyAlignment="1" applyProtection="0">
      <alignment horizontal="left" vertical="bottom"/>
    </xf>
    <xf numFmtId="49" fontId="7" fillId="2" borderId="1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59" fontId="0" fillId="3" borderId="4" applyNumberFormat="1" applyFont="1" applyFill="1" applyBorder="1" applyAlignment="1" applyProtection="0">
      <alignment vertical="bottom"/>
    </xf>
    <xf numFmtId="59" fontId="0" fillId="2" borderId="6" applyNumberFormat="1" applyFont="1" applyFill="1" applyBorder="1" applyAlignment="1" applyProtection="0">
      <alignment vertical="bottom"/>
    </xf>
    <xf numFmtId="59" fontId="0" fillId="2" borderId="2" applyNumberFormat="1" applyFont="1" applyFill="1" applyBorder="1" applyAlignment="1" applyProtection="0">
      <alignment vertical="bottom"/>
    </xf>
    <xf numFmtId="0" fontId="4" fillId="4" borderId="4" applyNumberFormat="0" applyFont="1" applyFill="1" applyBorder="1" applyAlignment="1" applyProtection="0">
      <alignment horizontal="right" vertical="bottom"/>
    </xf>
    <xf numFmtId="49" fontId="4" fillId="2" borderId="5" applyNumberFormat="1" applyFont="1" applyFill="1" applyBorder="1" applyAlignment="1" applyProtection="0">
      <alignment horizontal="center" vertical="bottom"/>
    </xf>
    <xf numFmtId="59" fontId="0" fillId="4" borderId="4" applyNumberFormat="1" applyFont="1" applyFill="1" applyBorder="1" applyAlignment="1" applyProtection="0">
      <alignment vertical="bottom"/>
    </xf>
    <xf numFmtId="49" fontId="4" fillId="2" borderId="3" applyNumberFormat="1" applyFont="1" applyFill="1" applyBorder="1" applyAlignment="1" applyProtection="0">
      <alignment horizontal="left" vertical="bottom"/>
    </xf>
    <xf numFmtId="60" fontId="0" fillId="4" borderId="4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6" fillId="2" borderId="1" applyNumberFormat="1" applyFont="1" applyFill="1" applyBorder="1" applyAlignment="1" applyProtection="0">
      <alignment vertical="bottom"/>
    </xf>
    <xf numFmtId="0" fontId="6" fillId="2" borderId="1" applyNumberFormat="0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horizontal="center" vertical="bottom"/>
    </xf>
    <xf numFmtId="0" fontId="8" fillId="2" borderId="1" applyNumberFormat="0" applyFont="1" applyFill="1" applyBorder="1" applyAlignment="1" applyProtection="0">
      <alignment horizontal="center" vertical="bottom"/>
    </xf>
    <xf numFmtId="49" fontId="9" fillId="2" borderId="1" applyNumberFormat="1" applyFont="1" applyFill="1" applyBorder="1" applyAlignment="1" applyProtection="0">
      <alignment horizontal="center" vertical="bottom"/>
    </xf>
    <xf numFmtId="0" fontId="9" fillId="2" borderId="1" applyNumberFormat="0" applyFont="1" applyFill="1" applyBorder="1" applyAlignment="1" applyProtection="0">
      <alignment horizontal="center" vertical="bottom"/>
    </xf>
    <xf numFmtId="49" fontId="0" fillId="2" borderId="1" applyNumberFormat="1" applyFont="1" applyFill="1" applyBorder="1" applyAlignment="1" applyProtection="0">
      <alignment vertical="bottom"/>
    </xf>
    <xf numFmtId="0" fontId="4" fillId="2" borderId="3" applyNumberFormat="1" applyFont="1" applyFill="1" applyBorder="1" applyAlignment="1" applyProtection="0">
      <alignment horizontal="center" vertical="bottom"/>
    </xf>
    <xf numFmtId="59" fontId="0" fillId="2" borderId="4" applyNumberFormat="1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horizontal="center" vertical="bottom"/>
    </xf>
    <xf numFmtId="60" fontId="0" fillId="2" borderId="4" applyNumberFormat="1" applyFont="1" applyFill="1" applyBorder="1" applyAlignment="1" applyProtection="0">
      <alignment vertical="bottom"/>
    </xf>
    <xf numFmtId="0" fontId="6" fillId="2" borderId="5" applyNumberFormat="0" applyFont="1" applyFill="1" applyBorder="1" applyAlignment="1" applyProtection="0">
      <alignment vertical="center"/>
    </xf>
    <xf numFmtId="0" fontId="0" fillId="2" borderId="7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2dae4"/>
      <rgbColor rgb="ffafdc7e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23"/>
  <sheetViews>
    <sheetView workbookViewId="0" showGridLines="0" defaultGridColor="1"/>
  </sheetViews>
  <sheetFormatPr defaultColWidth="11" defaultRowHeight="12.75" customHeight="1" outlineLevelRow="0" outlineLevelCol="0"/>
  <cols>
    <col min="1" max="1" width="48" style="1" customWidth="1"/>
    <col min="2" max="2" width="12.6719" style="1" customWidth="1"/>
    <col min="3" max="3" width="16.8516" style="1" customWidth="1"/>
    <col min="4" max="5" width="11" style="1" customWidth="1"/>
    <col min="6" max="16384" width="11" style="1" customWidth="1"/>
  </cols>
  <sheetData>
    <row r="1" ht="15.75" customHeight="1">
      <c r="A1" t="s" s="2">
        <v>0</v>
      </c>
      <c r="B1" s="3"/>
      <c r="C1" s="4"/>
      <c r="D1" s="4"/>
      <c r="E1" s="4"/>
    </row>
    <row r="2" ht="15" customHeight="1">
      <c r="A2" s="5"/>
      <c r="B2" s="4"/>
      <c r="C2" s="4"/>
      <c r="D2" s="4"/>
      <c r="E2" s="4"/>
    </row>
    <row r="3" ht="15.75" customHeight="1">
      <c r="A3" t="s" s="6">
        <v>1</v>
      </c>
      <c r="B3" s="4"/>
      <c r="C3" s="4"/>
      <c r="D3" s="4"/>
      <c r="E3" s="4"/>
    </row>
    <row r="4" ht="15" customHeight="1">
      <c r="A4" t="s" s="7">
        <v>2</v>
      </c>
      <c r="B4" s="4"/>
      <c r="C4" s="4"/>
      <c r="D4" s="4"/>
      <c r="E4" s="4"/>
    </row>
    <row r="5" ht="15" customHeight="1">
      <c r="A5" t="s" s="7">
        <v>3</v>
      </c>
      <c r="B5" s="4"/>
      <c r="C5" s="4"/>
      <c r="D5" s="4"/>
      <c r="E5" s="4"/>
    </row>
    <row r="6" ht="15" customHeight="1">
      <c r="A6" t="s" s="8">
        <v>4</v>
      </c>
      <c r="B6" s="4"/>
      <c r="C6" s="4"/>
      <c r="D6" s="4"/>
      <c r="E6" s="4"/>
    </row>
    <row r="7" ht="15" customHeight="1">
      <c r="A7" s="4"/>
      <c r="B7" s="4"/>
      <c r="C7" s="4"/>
      <c r="D7" s="4"/>
      <c r="E7" s="4"/>
    </row>
    <row r="8" ht="15" customHeight="1">
      <c r="A8" t="s" s="9">
        <v>5</v>
      </c>
      <c r="B8" s="10"/>
      <c r="C8" s="4"/>
      <c r="D8" s="4"/>
      <c r="E8" s="4"/>
    </row>
    <row r="9" ht="15" customHeight="1">
      <c r="A9" t="s" s="11">
        <v>6</v>
      </c>
      <c r="B9" t="s" s="12">
        <v>7</v>
      </c>
      <c r="C9" s="13"/>
      <c r="D9" s="4"/>
      <c r="E9" s="4"/>
    </row>
    <row r="10" ht="15" customHeight="1">
      <c r="A10" t="s" s="11">
        <v>8</v>
      </c>
      <c r="B10" s="14">
        <v>250000</v>
      </c>
      <c r="C10" s="13"/>
      <c r="D10" s="4"/>
      <c r="E10" s="4"/>
    </row>
    <row r="11" ht="15" customHeight="1">
      <c r="A11" s="4"/>
      <c r="B11" s="15"/>
      <c r="C11" s="4"/>
      <c r="D11" s="4"/>
      <c r="E11" s="4"/>
    </row>
    <row r="12" ht="15" customHeight="1">
      <c r="A12" t="s" s="9">
        <v>9</v>
      </c>
      <c r="B12" s="16"/>
      <c r="C12" s="4"/>
      <c r="D12" s="4"/>
      <c r="E12" s="4"/>
    </row>
    <row r="13" ht="15" customHeight="1">
      <c r="A13" t="s" s="11">
        <v>10</v>
      </c>
      <c r="B13" s="17"/>
      <c r="C13" t="s" s="18">
        <v>11</v>
      </c>
      <c r="D13" s="4"/>
      <c r="E13" s="4"/>
    </row>
    <row r="14" ht="15" customHeight="1">
      <c r="A14" t="s" s="11">
        <v>12</v>
      </c>
      <c r="B14" s="19"/>
      <c r="C14" t="s" s="18">
        <v>13</v>
      </c>
      <c r="D14" s="4"/>
      <c r="E14" s="4"/>
    </row>
    <row r="15" ht="15" customHeight="1">
      <c r="A15" t="s" s="20">
        <v>14</v>
      </c>
      <c r="B15" s="21"/>
      <c r="C15" t="s" s="18">
        <v>15</v>
      </c>
      <c r="D15" s="4"/>
      <c r="E15" s="4"/>
    </row>
    <row r="16" ht="15" customHeight="1">
      <c r="A16" t="s" s="20">
        <v>16</v>
      </c>
      <c r="B16" s="21"/>
      <c r="C16" t="s" s="18">
        <v>11</v>
      </c>
      <c r="D16" s="4"/>
      <c r="E16" s="4"/>
    </row>
    <row r="17" ht="15" customHeight="1">
      <c r="A17" t="s" s="20">
        <v>17</v>
      </c>
      <c r="B17" s="21"/>
      <c r="C17" t="s" s="18">
        <v>18</v>
      </c>
      <c r="D17" s="4"/>
      <c r="E17" s="4"/>
    </row>
    <row r="18" ht="15" customHeight="1">
      <c r="A18" t="s" s="20">
        <v>19</v>
      </c>
      <c r="B18" s="21"/>
      <c r="C18" t="s" s="18">
        <v>20</v>
      </c>
      <c r="D18" s="4"/>
      <c r="E18" s="4"/>
    </row>
    <row r="19" ht="15" customHeight="1">
      <c r="A19" t="s" s="20">
        <v>21</v>
      </c>
      <c r="B19" s="21"/>
      <c r="C19" t="s" s="18">
        <v>22</v>
      </c>
      <c r="D19" s="4"/>
      <c r="E19" s="4"/>
    </row>
    <row r="20" ht="15" customHeight="1">
      <c r="A20" s="5"/>
      <c r="B20" s="22"/>
      <c r="C20" s="4"/>
      <c r="D20" s="4"/>
      <c r="E20" s="4"/>
    </row>
    <row r="21" ht="15" customHeight="1">
      <c r="A21" s="4"/>
      <c r="B21" s="4"/>
      <c r="C21" s="4"/>
      <c r="D21" s="4"/>
      <c r="E21" s="4"/>
    </row>
    <row r="22" ht="15" customHeight="1">
      <c r="A22" s="4"/>
      <c r="B22" s="4"/>
      <c r="C22" s="4"/>
      <c r="D22" s="4"/>
      <c r="E22" s="4"/>
    </row>
    <row r="23" ht="15" customHeight="1">
      <c r="A23" t="s" s="23">
        <v>23</v>
      </c>
      <c r="B23" s="4"/>
      <c r="C23" s="4"/>
      <c r="D23" s="4"/>
      <c r="E23" s="4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34"/>
  <sheetViews>
    <sheetView workbookViewId="0" showGridLines="0" defaultGridColor="1"/>
  </sheetViews>
  <sheetFormatPr defaultColWidth="11" defaultRowHeight="12.75" customHeight="1" outlineLevelRow="0" outlineLevelCol="0"/>
  <cols>
    <col min="1" max="1" width="44.6719" style="24" customWidth="1"/>
    <col min="2" max="2" width="4.35156" style="24" customWidth="1"/>
    <col min="3" max="3" width="10.5" style="24" customWidth="1"/>
    <col min="4" max="5" width="11" style="24" customWidth="1"/>
    <col min="6" max="16384" width="11" style="24" customWidth="1"/>
  </cols>
  <sheetData>
    <row r="1" ht="15" customHeight="1">
      <c r="A1" t="s" s="25">
        <v>24</v>
      </c>
      <c r="B1" s="26"/>
      <c r="C1" s="26"/>
      <c r="D1" s="26"/>
      <c r="E1" s="4"/>
    </row>
    <row r="2" ht="15" customHeight="1">
      <c r="A2" t="s" s="27">
        <v>25</v>
      </c>
      <c r="B2" s="28"/>
      <c r="C2" s="28"/>
      <c r="D2" s="28"/>
      <c r="E2" s="4"/>
    </row>
    <row r="3" ht="15" customHeight="1">
      <c r="A3" t="s" s="29">
        <v>26</v>
      </c>
      <c r="B3" s="30"/>
      <c r="C3" s="30"/>
      <c r="D3" s="30"/>
      <c r="E3" s="4"/>
    </row>
    <row r="4" ht="15" customHeight="1">
      <c r="A4" s="4"/>
      <c r="B4" s="4"/>
      <c r="C4" s="4"/>
      <c r="D4" s="4"/>
      <c r="E4" s="4"/>
    </row>
    <row r="5" ht="15" customHeight="1">
      <c r="A5" t="s" s="25">
        <v>27</v>
      </c>
      <c r="B5" t="s" s="25">
        <v>28</v>
      </c>
      <c r="C5" s="10"/>
      <c r="D5" s="4"/>
      <c r="E5" s="4"/>
    </row>
    <row r="6" ht="15" customHeight="1">
      <c r="A6" t="s" s="31">
        <v>29</v>
      </c>
      <c r="B6" s="32">
        <v>1</v>
      </c>
      <c r="C6" s="33">
        <f>73495*1.03</f>
        <v>75699.850000000006</v>
      </c>
      <c r="D6" t="s" s="18">
        <v>30</v>
      </c>
      <c r="E6" s="4"/>
    </row>
    <row r="7" ht="15" customHeight="1">
      <c r="A7" t="s" s="23">
        <v>31</v>
      </c>
      <c r="B7" s="34"/>
      <c r="C7" s="22"/>
      <c r="D7" s="4"/>
      <c r="E7" s="4"/>
    </row>
    <row r="8" ht="15" customHeight="1">
      <c r="A8" t="s" s="25">
        <v>32</v>
      </c>
      <c r="B8" s="34"/>
      <c r="C8" s="10"/>
      <c r="D8" s="4"/>
      <c r="E8" s="4"/>
    </row>
    <row r="9" ht="15" customHeight="1">
      <c r="A9" t="s" s="31">
        <v>33</v>
      </c>
      <c r="B9" s="32">
        <v>2</v>
      </c>
      <c r="C9" s="33">
        <f>'data'!B14</f>
        <v>0</v>
      </c>
      <c r="D9" s="13"/>
      <c r="E9" s="4"/>
    </row>
    <row r="10" ht="15" customHeight="1">
      <c r="A10" t="s" s="31">
        <v>34</v>
      </c>
      <c r="B10" s="32">
        <v>3</v>
      </c>
      <c r="C10" s="33">
        <f>C9-'data'!B10</f>
        <v>-250000</v>
      </c>
      <c r="D10" s="13"/>
      <c r="E10" s="4"/>
    </row>
    <row r="11" ht="15" customHeight="1">
      <c r="A11" t="s" s="31">
        <v>35</v>
      </c>
      <c r="B11" s="32">
        <v>4</v>
      </c>
      <c r="C11" s="33">
        <f>C10*0.03</f>
        <v>-7500</v>
      </c>
      <c r="D11" s="13"/>
      <c r="E11" s="4"/>
    </row>
    <row r="12" ht="15" customHeight="1">
      <c r="A12" t="s" s="31">
        <v>36</v>
      </c>
      <c r="B12" s="32">
        <v>5</v>
      </c>
      <c r="C12" s="33">
        <f>C11+C6</f>
        <v>68199.850000000006</v>
      </c>
      <c r="D12" s="13"/>
      <c r="E12" s="4"/>
    </row>
    <row r="13" ht="15" customHeight="1">
      <c r="A13" s="4"/>
      <c r="B13" s="34"/>
      <c r="C13" s="22"/>
      <c r="D13" s="4"/>
      <c r="E13" s="4"/>
    </row>
    <row r="14" ht="15" customHeight="1">
      <c r="A14" t="s" s="25">
        <v>37</v>
      </c>
      <c r="B14" s="34"/>
      <c r="C14" s="10"/>
      <c r="D14" s="4"/>
      <c r="E14" s="4"/>
    </row>
    <row r="15" ht="15" customHeight="1">
      <c r="A15" t="s" s="31">
        <v>38</v>
      </c>
      <c r="B15" s="32">
        <v>6</v>
      </c>
      <c r="C15" s="35">
        <f>IF('data'!$B$15&gt;15,15,TRUNC('data'!$B$15))</f>
        <v>0</v>
      </c>
      <c r="D15" s="13"/>
      <c r="E15" s="4"/>
    </row>
    <row r="16" ht="15" customHeight="1">
      <c r="A16" t="s" s="31">
        <v>39</v>
      </c>
      <c r="B16" s="32">
        <v>7</v>
      </c>
      <c r="C16" s="35">
        <f>ROUND(IF('data'!$B$16&gt;100,(('data'!$B$16-100)/IF('data'!$B$13="yes",24,12)),0),0)</f>
        <v>0</v>
      </c>
      <c r="D16" s="36"/>
      <c r="E16" s="4"/>
    </row>
    <row r="17" ht="15" customHeight="1">
      <c r="A17" t="s" s="31">
        <v>40</v>
      </c>
      <c r="B17" s="32">
        <v>8</v>
      </c>
      <c r="C17" s="35">
        <f>'data'!$B$17*5</f>
        <v>0</v>
      </c>
      <c r="D17" s="13"/>
      <c r="E17" s="4"/>
    </row>
    <row r="18" ht="15" customHeight="1">
      <c r="A18" t="s" s="31">
        <v>41</v>
      </c>
      <c r="B18" s="32">
        <v>9</v>
      </c>
      <c r="C18" s="35">
        <f>IF('data'!$B$18&gt;5,5,TRUNC('data'!$B$18))</f>
        <v>0</v>
      </c>
      <c r="D18" s="13"/>
      <c r="E18" s="4"/>
    </row>
    <row r="19" ht="15" customHeight="1">
      <c r="A19" t="s" s="31">
        <v>42</v>
      </c>
      <c r="B19" s="32">
        <v>10</v>
      </c>
      <c r="C19" s="35">
        <f>IF('data'!$B$19&gt;10,5,'data'!$B$19/2)</f>
        <v>0</v>
      </c>
      <c r="D19" s="13"/>
      <c r="E19" s="4"/>
    </row>
    <row r="20" ht="15" customHeight="1">
      <c r="A20" s="4"/>
      <c r="B20" s="34"/>
      <c r="C20" s="37"/>
      <c r="D20" s="4"/>
      <c r="E20" s="4"/>
    </row>
    <row r="21" ht="15" customHeight="1">
      <c r="A21" t="s" s="31">
        <v>43</v>
      </c>
      <c r="B21" s="32">
        <v>11</v>
      </c>
      <c r="C21" s="35">
        <f>SUM(C15:C19)</f>
        <v>0</v>
      </c>
      <c r="D21" s="13"/>
      <c r="E21" s="4"/>
    </row>
    <row r="22" ht="15" customHeight="1">
      <c r="A22" s="4"/>
      <c r="B22" s="34"/>
      <c r="C22" s="37"/>
      <c r="D22" s="4"/>
      <c r="E22" s="4"/>
    </row>
    <row r="23" ht="15" customHeight="1">
      <c r="A23" t="s" s="31">
        <v>44</v>
      </c>
      <c r="B23" s="32">
        <v>12</v>
      </c>
      <c r="C23" s="35">
        <f>C21*(C6*0.01)</f>
        <v>0</v>
      </c>
      <c r="D23" s="13"/>
      <c r="E23" s="4"/>
    </row>
    <row r="24" ht="15" customHeight="1">
      <c r="A24" s="4"/>
      <c r="B24" s="34"/>
      <c r="C24" s="22"/>
      <c r="D24" s="4"/>
      <c r="E24" s="4"/>
    </row>
    <row r="25" ht="15" customHeight="1">
      <c r="A25" t="s" s="25">
        <v>45</v>
      </c>
      <c r="B25" s="34"/>
      <c r="C25" s="10"/>
      <c r="D25" s="4"/>
      <c r="E25" s="4"/>
    </row>
    <row r="26" ht="15" customHeight="1">
      <c r="A26" t="s" s="31">
        <v>46</v>
      </c>
      <c r="B26" s="32">
        <v>13</v>
      </c>
      <c r="C26" s="33">
        <f>C12+C23</f>
        <v>68199.850000000006</v>
      </c>
      <c r="D26" s="13"/>
      <c r="E26" s="4"/>
    </row>
    <row r="27" ht="15" customHeight="1">
      <c r="A27" t="s" s="31">
        <v>47</v>
      </c>
      <c r="B27" s="32">
        <v>14</v>
      </c>
      <c r="C27" s="33">
        <f>C26*1.15</f>
        <v>78429.8275</v>
      </c>
      <c r="D27" s="13"/>
      <c r="E27" s="4"/>
    </row>
    <row r="28" ht="15" customHeight="1">
      <c r="A28" t="s" s="31">
        <v>48</v>
      </c>
      <c r="B28" s="32">
        <v>15</v>
      </c>
      <c r="C28" s="33">
        <f>C26*1.3</f>
        <v>88659.804999999993</v>
      </c>
      <c r="D28" s="13"/>
      <c r="E28" s="4"/>
    </row>
    <row r="29" ht="15" customHeight="1">
      <c r="A29" s="4"/>
      <c r="B29" s="34"/>
      <c r="C29" s="37"/>
      <c r="D29" s="4"/>
      <c r="E29" s="4"/>
    </row>
    <row r="30" ht="15" customHeight="1">
      <c r="A30" t="s" s="31">
        <v>49</v>
      </c>
      <c r="B30" s="32">
        <v>16</v>
      </c>
      <c r="C30" s="38"/>
      <c r="D30" s="13"/>
      <c r="E30" s="4"/>
    </row>
    <row r="31" ht="15" customHeight="1">
      <c r="A31" s="4"/>
      <c r="B31" s="4"/>
      <c r="C31" s="22"/>
      <c r="D31" s="4"/>
      <c r="E31" s="4"/>
    </row>
    <row r="32" ht="15" customHeight="1">
      <c r="A32" s="4"/>
      <c r="B32" s="4"/>
      <c r="C32" s="4"/>
      <c r="D32" s="4"/>
      <c r="E32" s="4"/>
    </row>
    <row r="33" ht="15" customHeight="1">
      <c r="A33" s="4"/>
      <c r="B33" s="4"/>
      <c r="C33" s="4"/>
      <c r="D33" s="4"/>
      <c r="E33" s="4"/>
    </row>
    <row r="34" ht="15" customHeight="1">
      <c r="A34" t="s" s="23">
        <v>50</v>
      </c>
      <c r="B34" s="4"/>
      <c r="C34" s="4"/>
      <c r="D34" s="4"/>
      <c r="E34" s="4"/>
    </row>
  </sheetData>
  <mergeCells count="2">
    <mergeCell ref="A2:D2"/>
    <mergeCell ref="A3:D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33"/>
  <sheetViews>
    <sheetView workbookViewId="0" showGridLines="0" defaultGridColor="1"/>
  </sheetViews>
  <sheetFormatPr defaultColWidth="11" defaultRowHeight="12.75" customHeight="1" outlineLevelRow="0" outlineLevelCol="0"/>
  <cols>
    <col min="1" max="1" width="53.9531" style="39" customWidth="1"/>
    <col min="2" max="2" width="4.35156" style="39" customWidth="1"/>
    <col min="3" max="3" width="12.3516" style="39" customWidth="1"/>
    <col min="4" max="5" width="11" style="39" customWidth="1"/>
    <col min="6" max="16384" width="11" style="39" customWidth="1"/>
  </cols>
  <sheetData>
    <row r="1" ht="15" customHeight="1">
      <c r="A1" t="s" s="25">
        <v>24</v>
      </c>
      <c r="B1" s="26"/>
      <c r="C1" s="26"/>
      <c r="D1" s="26"/>
      <c r="E1" s="4"/>
    </row>
    <row r="2" ht="15" customHeight="1">
      <c r="A2" t="s" s="27">
        <v>25</v>
      </c>
      <c r="B2" s="28"/>
      <c r="C2" s="28"/>
      <c r="D2" s="28"/>
      <c r="E2" s="4"/>
    </row>
    <row r="3" ht="15" customHeight="1">
      <c r="A3" t="s" s="29">
        <v>26</v>
      </c>
      <c r="B3" s="30"/>
      <c r="C3" s="30"/>
      <c r="D3" s="30"/>
      <c r="E3" s="4"/>
    </row>
    <row r="4" ht="15" customHeight="1">
      <c r="A4" s="4"/>
      <c r="B4" s="4"/>
      <c r="C4" s="4"/>
      <c r="D4" s="4"/>
      <c r="E4" s="4"/>
    </row>
    <row r="5" ht="15" customHeight="1">
      <c r="A5" t="s" s="25">
        <v>27</v>
      </c>
      <c r="B5" t="s" s="25">
        <v>28</v>
      </c>
      <c r="C5" s="10"/>
      <c r="D5" s="4"/>
      <c r="E5" s="4"/>
    </row>
    <row r="6" ht="15" customHeight="1">
      <c r="A6" t="s" s="31">
        <v>29</v>
      </c>
      <c r="B6" s="32">
        <v>1</v>
      </c>
      <c r="C6" s="33">
        <f>60542*1.03</f>
        <v>62358.26</v>
      </c>
      <c r="D6" t="s" s="18">
        <v>30</v>
      </c>
      <c r="E6" s="4"/>
    </row>
    <row r="7" ht="15" customHeight="1">
      <c r="A7" t="s" s="23">
        <v>51</v>
      </c>
      <c r="B7" s="34"/>
      <c r="C7" s="22"/>
      <c r="D7" s="4"/>
      <c r="E7" s="4"/>
    </row>
    <row r="8" ht="15" customHeight="1">
      <c r="A8" t="s" s="25">
        <v>32</v>
      </c>
      <c r="B8" s="34"/>
      <c r="C8" s="10"/>
      <c r="D8" s="4"/>
      <c r="E8" s="4"/>
    </row>
    <row r="9" ht="15" customHeight="1">
      <c r="A9" t="s" s="31">
        <v>33</v>
      </c>
      <c r="B9" s="32">
        <v>2</v>
      </c>
      <c r="C9" s="33">
        <f>'data'!B14</f>
        <v>0</v>
      </c>
      <c r="D9" s="13"/>
      <c r="E9" s="4"/>
    </row>
    <row r="10" ht="15" customHeight="1">
      <c r="A10" t="s" s="31">
        <v>34</v>
      </c>
      <c r="B10" s="32">
        <v>3</v>
      </c>
      <c r="C10" s="33">
        <f>C9-'data'!B10</f>
        <v>-250000</v>
      </c>
      <c r="D10" s="13"/>
      <c r="E10" s="4"/>
    </row>
    <row r="11" ht="15" customHeight="1">
      <c r="A11" t="s" s="31">
        <v>52</v>
      </c>
      <c r="B11" s="32">
        <v>4</v>
      </c>
      <c r="C11" s="33">
        <f>(C10*0.03)*0.3</f>
        <v>-2250</v>
      </c>
      <c r="D11" s="13"/>
      <c r="E11" s="4"/>
    </row>
    <row r="12" ht="15" customHeight="1">
      <c r="A12" t="s" s="31">
        <v>36</v>
      </c>
      <c r="B12" s="32">
        <v>5</v>
      </c>
      <c r="C12" s="33">
        <f>C11+C6</f>
        <v>60108.26</v>
      </c>
      <c r="D12" s="13"/>
      <c r="E12" s="4"/>
    </row>
    <row r="13" ht="15" customHeight="1">
      <c r="A13" s="4"/>
      <c r="B13" s="34"/>
      <c r="C13" s="22"/>
      <c r="D13" s="4"/>
      <c r="E13" s="4"/>
    </row>
    <row r="14" ht="15" customHeight="1">
      <c r="A14" t="s" s="25">
        <v>37</v>
      </c>
      <c r="B14" s="34"/>
      <c r="C14" s="10"/>
      <c r="D14" s="4"/>
      <c r="E14" s="4"/>
    </row>
    <row r="15" ht="15" customHeight="1">
      <c r="A15" t="s" s="31">
        <v>53</v>
      </c>
      <c r="B15" s="32">
        <v>6</v>
      </c>
      <c r="C15" s="35">
        <f>IF('data'!$B$15&gt;15,15,TRUNC('data'!$B$15))</f>
        <v>0</v>
      </c>
      <c r="D15" s="13"/>
      <c r="E15" s="4"/>
    </row>
    <row r="16" ht="15" customHeight="1">
      <c r="A16" t="s" s="31">
        <v>39</v>
      </c>
      <c r="B16" s="32">
        <v>7</v>
      </c>
      <c r="C16" s="35">
        <f>ROUND(IF('data'!$B$16&gt;100,(('data'!$B$16-100)/IF('data'!$B$13="yes",24,12)),0),0)</f>
        <v>0</v>
      </c>
      <c r="D16" s="36"/>
      <c r="E16" s="4"/>
    </row>
    <row r="17" ht="15" customHeight="1">
      <c r="A17" t="s" s="31">
        <v>40</v>
      </c>
      <c r="B17" s="32">
        <v>8</v>
      </c>
      <c r="C17" s="35">
        <f>'data'!$B$17*5</f>
        <v>0</v>
      </c>
      <c r="D17" s="13"/>
      <c r="E17" s="4"/>
    </row>
    <row r="18" ht="15" customHeight="1">
      <c r="A18" t="s" s="31">
        <v>41</v>
      </c>
      <c r="B18" s="32">
        <v>9</v>
      </c>
      <c r="C18" s="35">
        <f>IF('data'!$B$18&gt;5,5,TRUNC('data'!$B$18))</f>
        <v>0</v>
      </c>
      <c r="D18" s="13"/>
      <c r="E18" s="4"/>
    </row>
    <row r="19" ht="15" customHeight="1">
      <c r="A19" t="s" s="31">
        <v>42</v>
      </c>
      <c r="B19" s="32">
        <v>10</v>
      </c>
      <c r="C19" s="35">
        <f>IF('data'!$B$19&gt;10,5,'data'!$B$19/2)</f>
        <v>0</v>
      </c>
      <c r="D19" s="13"/>
      <c r="E19" s="4"/>
    </row>
    <row r="20" ht="15" customHeight="1">
      <c r="A20" s="4"/>
      <c r="B20" s="34"/>
      <c r="C20" s="37"/>
      <c r="D20" s="4"/>
      <c r="E20" s="4"/>
    </row>
    <row r="21" ht="15" customHeight="1">
      <c r="A21" t="s" s="31">
        <v>43</v>
      </c>
      <c r="B21" s="32">
        <v>11</v>
      </c>
      <c r="C21" s="35">
        <f>SUM(C15:C19)</f>
        <v>0</v>
      </c>
      <c r="D21" s="13"/>
      <c r="E21" s="4"/>
    </row>
    <row r="22" ht="15" customHeight="1">
      <c r="A22" s="4"/>
      <c r="B22" s="34"/>
      <c r="C22" s="37"/>
      <c r="D22" s="4"/>
      <c r="E22" s="4"/>
    </row>
    <row r="23" ht="15" customHeight="1">
      <c r="A23" t="s" s="31">
        <v>44</v>
      </c>
      <c r="B23" s="32">
        <v>12</v>
      </c>
      <c r="C23" s="35">
        <f>C21*(C6*0.01)</f>
        <v>0</v>
      </c>
      <c r="D23" s="13"/>
      <c r="E23" s="4"/>
    </row>
    <row r="24" ht="15" customHeight="1">
      <c r="A24" s="4"/>
      <c r="B24" s="34"/>
      <c r="C24" s="22"/>
      <c r="D24" s="4"/>
      <c r="E24" s="4"/>
    </row>
    <row r="25" ht="15" customHeight="1">
      <c r="A25" t="s" s="25">
        <v>45</v>
      </c>
      <c r="B25" s="34"/>
      <c r="C25" s="10"/>
      <c r="D25" s="4"/>
      <c r="E25" s="4"/>
    </row>
    <row r="26" ht="15" customHeight="1">
      <c r="A26" t="s" s="31">
        <v>46</v>
      </c>
      <c r="B26" s="32">
        <v>13</v>
      </c>
      <c r="C26" s="33">
        <f>C12+C23</f>
        <v>60108.26</v>
      </c>
      <c r="D26" s="13"/>
      <c r="E26" s="4"/>
    </row>
    <row r="27" ht="15" customHeight="1">
      <c r="A27" t="s" s="31">
        <v>47</v>
      </c>
      <c r="B27" s="32">
        <v>14</v>
      </c>
      <c r="C27" s="33">
        <f>C26*1.15</f>
        <v>69124.499</v>
      </c>
      <c r="D27" s="13"/>
      <c r="E27" s="4"/>
    </row>
    <row r="28" ht="15" customHeight="1">
      <c r="A28" t="s" s="31">
        <v>48</v>
      </c>
      <c r="B28" s="32">
        <v>15</v>
      </c>
      <c r="C28" s="33">
        <f>C26*1.3</f>
        <v>78140.738</v>
      </c>
      <c r="D28" s="13"/>
      <c r="E28" s="4"/>
    </row>
    <row r="29" ht="15" customHeight="1">
      <c r="A29" s="4"/>
      <c r="B29" s="34"/>
      <c r="C29" s="37"/>
      <c r="D29" s="4"/>
      <c r="E29" s="4"/>
    </row>
    <row r="30" ht="15" customHeight="1">
      <c r="A30" t="s" s="31">
        <v>49</v>
      </c>
      <c r="B30" s="32">
        <v>16</v>
      </c>
      <c r="C30" s="38"/>
      <c r="D30" s="13"/>
      <c r="E30" s="4"/>
    </row>
    <row r="31" ht="15" customHeight="1">
      <c r="A31" s="4"/>
      <c r="B31" s="4"/>
      <c r="C31" s="22"/>
      <c r="D31" s="4"/>
      <c r="E31" s="4"/>
    </row>
    <row r="32" ht="15" customHeight="1">
      <c r="A32" s="4"/>
      <c r="B32" s="4"/>
      <c r="C32" s="4"/>
      <c r="D32" s="4"/>
      <c r="E32" s="4"/>
    </row>
    <row r="33" ht="15" customHeight="1">
      <c r="A33" t="s" s="23">
        <v>50</v>
      </c>
      <c r="B33" s="4"/>
      <c r="C33" s="4"/>
      <c r="D33" s="4"/>
      <c r="E33" s="4"/>
    </row>
  </sheetData>
  <mergeCells count="2">
    <mergeCell ref="A3:D3"/>
    <mergeCell ref="A2:D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33"/>
  <sheetViews>
    <sheetView workbookViewId="0" showGridLines="0" defaultGridColor="1"/>
  </sheetViews>
  <sheetFormatPr defaultColWidth="11" defaultRowHeight="12.75" customHeight="1" outlineLevelRow="0" outlineLevelCol="0"/>
  <cols>
    <col min="1" max="1" width="44.6719" style="40" customWidth="1"/>
    <col min="2" max="2" width="4.35156" style="40" customWidth="1"/>
    <col min="3" max="3" width="13.1719" style="40" customWidth="1"/>
    <col min="4" max="5" width="11" style="40" customWidth="1"/>
    <col min="6" max="16384" width="11" style="40" customWidth="1"/>
  </cols>
  <sheetData>
    <row r="1" ht="15" customHeight="1">
      <c r="A1" t="s" s="25">
        <v>54</v>
      </c>
      <c r="B1" s="26"/>
      <c r="C1" s="26"/>
      <c r="D1" s="26"/>
      <c r="E1" s="4"/>
    </row>
    <row r="2" ht="15" customHeight="1">
      <c r="A2" t="s" s="27">
        <v>25</v>
      </c>
      <c r="B2" s="28"/>
      <c r="C2" s="28"/>
      <c r="D2" s="28"/>
      <c r="E2" s="4"/>
    </row>
    <row r="3" ht="15" customHeight="1">
      <c r="A3" t="s" s="29">
        <v>26</v>
      </c>
      <c r="B3" s="30"/>
      <c r="C3" s="30"/>
      <c r="D3" s="30"/>
      <c r="E3" s="4"/>
    </row>
    <row r="4" ht="15" customHeight="1">
      <c r="A4" s="4"/>
      <c r="B4" s="4"/>
      <c r="C4" s="4"/>
      <c r="D4" s="4"/>
      <c r="E4" s="4"/>
    </row>
    <row r="5" ht="15" customHeight="1">
      <c r="A5" t="s" s="25">
        <v>27</v>
      </c>
      <c r="B5" t="s" s="25">
        <v>28</v>
      </c>
      <c r="C5" s="10"/>
      <c r="D5" s="4"/>
      <c r="E5" s="4"/>
    </row>
    <row r="6" ht="15" customHeight="1">
      <c r="A6" t="s" s="31">
        <v>29</v>
      </c>
      <c r="B6" s="32">
        <v>1</v>
      </c>
      <c r="C6" s="33">
        <f>51026*1.03</f>
        <v>52556.78</v>
      </c>
      <c r="D6" t="s" s="18">
        <v>30</v>
      </c>
      <c r="E6" s="4"/>
    </row>
    <row r="7" ht="15" customHeight="1">
      <c r="A7" s="4"/>
      <c r="B7" s="34"/>
      <c r="C7" s="22"/>
      <c r="D7" s="4"/>
      <c r="E7" s="4"/>
    </row>
    <row r="8" ht="15" customHeight="1">
      <c r="A8" t="s" s="25">
        <v>32</v>
      </c>
      <c r="B8" s="34"/>
      <c r="C8" s="10"/>
      <c r="D8" s="4"/>
      <c r="E8" s="4"/>
    </row>
    <row r="9" ht="15" customHeight="1">
      <c r="A9" t="s" s="31">
        <v>33</v>
      </c>
      <c r="B9" s="32">
        <v>2</v>
      </c>
      <c r="C9" s="33">
        <f>'data'!$B$14</f>
        <v>0</v>
      </c>
      <c r="D9" s="13"/>
      <c r="E9" s="4"/>
    </row>
    <row r="10" ht="15" customHeight="1">
      <c r="A10" t="s" s="31">
        <v>34</v>
      </c>
      <c r="B10" s="32">
        <v>3</v>
      </c>
      <c r="C10" s="33">
        <f>C9-'data'!B10</f>
        <v>-250000</v>
      </c>
      <c r="D10" s="13"/>
      <c r="E10" s="4"/>
    </row>
    <row r="11" ht="15" customHeight="1">
      <c r="A11" t="s" s="31">
        <v>35</v>
      </c>
      <c r="B11" s="32">
        <v>4</v>
      </c>
      <c r="C11" s="33">
        <f>C10*0.03</f>
        <v>-7500</v>
      </c>
      <c r="D11" s="13"/>
      <c r="E11" s="4"/>
    </row>
    <row r="12" ht="15" customHeight="1">
      <c r="A12" t="s" s="31">
        <v>36</v>
      </c>
      <c r="B12" s="32">
        <v>5</v>
      </c>
      <c r="C12" s="33">
        <f>C11+C6</f>
        <v>45056.78</v>
      </c>
      <c r="D12" s="13"/>
      <c r="E12" s="4"/>
    </row>
    <row r="13" ht="15" customHeight="1">
      <c r="A13" s="4"/>
      <c r="B13" s="34"/>
      <c r="C13" s="22"/>
      <c r="D13" s="4"/>
      <c r="E13" s="4"/>
    </row>
    <row r="14" ht="15" customHeight="1">
      <c r="A14" t="s" s="25">
        <v>37</v>
      </c>
      <c r="B14" s="34"/>
      <c r="C14" s="10"/>
      <c r="D14" s="4"/>
      <c r="E14" s="4"/>
    </row>
    <row r="15" ht="15" customHeight="1">
      <c r="A15" t="s" s="31">
        <v>38</v>
      </c>
      <c r="B15" s="32">
        <v>6</v>
      </c>
      <c r="C15" s="35">
        <f>'data'!B15</f>
        <v>0</v>
      </c>
      <c r="D15" s="13"/>
      <c r="E15" s="4"/>
    </row>
    <row r="16" ht="15" customHeight="1">
      <c r="A16" t="s" s="31">
        <v>39</v>
      </c>
      <c r="B16" s="32">
        <v>7</v>
      </c>
      <c r="C16" s="35">
        <f>ROUND(IF('data'!$B$16&gt;100,(('data'!$B$16-100)/IF('data'!$B$13="yes",24,12)),0),0)</f>
        <v>0</v>
      </c>
      <c r="D16" s="13"/>
      <c r="E16" s="4"/>
    </row>
    <row r="17" ht="15" customHeight="1">
      <c r="A17" t="s" s="31">
        <v>40</v>
      </c>
      <c r="B17" s="32">
        <v>8</v>
      </c>
      <c r="C17" s="35">
        <f>'data'!$B$17*5</f>
        <v>0</v>
      </c>
      <c r="D17" s="13"/>
      <c r="E17" s="4"/>
    </row>
    <row r="18" ht="15" customHeight="1">
      <c r="A18" t="s" s="31">
        <v>41</v>
      </c>
      <c r="B18" s="32">
        <v>9</v>
      </c>
      <c r="C18" s="35">
        <f>IF('data'!$B$18&gt;5,5,TRUNC('data'!$B$18))</f>
        <v>0</v>
      </c>
      <c r="D18" s="13"/>
      <c r="E18" s="4"/>
    </row>
    <row r="19" ht="15" customHeight="1">
      <c r="A19" t="s" s="31">
        <v>42</v>
      </c>
      <c r="B19" s="32">
        <v>10</v>
      </c>
      <c r="C19" s="35">
        <f>IF('data'!$B$19&gt;10,5,'data'!$B$19/2)</f>
        <v>0</v>
      </c>
      <c r="D19" s="13"/>
      <c r="E19" s="4"/>
    </row>
    <row r="20" ht="15" customHeight="1">
      <c r="A20" s="4"/>
      <c r="B20" s="34"/>
      <c r="C20" s="37"/>
      <c r="D20" s="4"/>
      <c r="E20" s="4"/>
    </row>
    <row r="21" ht="15" customHeight="1">
      <c r="A21" t="s" s="31">
        <v>43</v>
      </c>
      <c r="B21" s="32">
        <v>11</v>
      </c>
      <c r="C21" s="35">
        <f>SUM(C15:C19)</f>
        <v>0</v>
      </c>
      <c r="D21" s="13"/>
      <c r="E21" s="4"/>
    </row>
    <row r="22" ht="15" customHeight="1">
      <c r="A22" s="4"/>
      <c r="B22" s="34"/>
      <c r="C22" s="37"/>
      <c r="D22" s="4"/>
      <c r="E22" s="4"/>
    </row>
    <row r="23" ht="15" customHeight="1">
      <c r="A23" t="s" s="31">
        <v>55</v>
      </c>
      <c r="B23" s="32">
        <v>12</v>
      </c>
      <c r="C23" s="35">
        <f>C21*(C6*0.01)</f>
        <v>0</v>
      </c>
      <c r="D23" s="13"/>
      <c r="E23" s="4"/>
    </row>
    <row r="24" ht="15" customHeight="1">
      <c r="A24" s="4"/>
      <c r="B24" s="34"/>
      <c r="C24" s="22"/>
      <c r="D24" s="4"/>
      <c r="E24" s="4"/>
    </row>
    <row r="25" ht="15" customHeight="1">
      <c r="A25" t="s" s="25">
        <v>45</v>
      </c>
      <c r="B25" s="34"/>
      <c r="C25" s="10"/>
      <c r="D25" s="4"/>
      <c r="E25" s="4"/>
    </row>
    <row r="26" ht="15" customHeight="1">
      <c r="A26" t="s" s="31">
        <v>46</v>
      </c>
      <c r="B26" s="32">
        <v>13</v>
      </c>
      <c r="C26" s="33">
        <f>C12+C23</f>
        <v>45056.78</v>
      </c>
      <c r="D26" s="13"/>
      <c r="E26" s="4"/>
    </row>
    <row r="27" ht="15" customHeight="1">
      <c r="A27" t="s" s="31">
        <v>47</v>
      </c>
      <c r="B27" s="32">
        <v>14</v>
      </c>
      <c r="C27" s="33">
        <f>C26*1.15</f>
        <v>51815.297</v>
      </c>
      <c r="D27" s="13"/>
      <c r="E27" s="4"/>
    </row>
    <row r="28" ht="15" customHeight="1">
      <c r="A28" t="s" s="31">
        <v>48</v>
      </c>
      <c r="B28" s="32">
        <v>15</v>
      </c>
      <c r="C28" s="33">
        <f>C26*1.3</f>
        <v>58573.814</v>
      </c>
      <c r="D28" s="13"/>
      <c r="E28" s="4"/>
    </row>
    <row r="29" ht="15" customHeight="1">
      <c r="A29" s="4"/>
      <c r="B29" s="34"/>
      <c r="C29" s="37"/>
      <c r="D29" s="4"/>
      <c r="E29" s="4"/>
    </row>
    <row r="30" ht="15" customHeight="1">
      <c r="A30" t="s" s="31">
        <v>49</v>
      </c>
      <c r="B30" s="32">
        <v>16</v>
      </c>
      <c r="C30" s="38"/>
      <c r="D30" s="13"/>
      <c r="E30" s="4"/>
    </row>
    <row r="31" ht="15" customHeight="1">
      <c r="A31" s="4"/>
      <c r="B31" s="4"/>
      <c r="C31" s="22"/>
      <c r="D31" s="4"/>
      <c r="E31" s="4"/>
    </row>
    <row r="32" ht="15" customHeight="1">
      <c r="A32" s="4"/>
      <c r="B32" s="4"/>
      <c r="C32" s="4"/>
      <c r="D32" s="4"/>
      <c r="E32" s="4"/>
    </row>
    <row r="33" ht="15" customHeight="1">
      <c r="A33" t="s" s="23">
        <v>50</v>
      </c>
      <c r="B33" s="4"/>
      <c r="C33" s="4"/>
      <c r="D33" s="4"/>
      <c r="E33" s="4"/>
    </row>
  </sheetData>
  <mergeCells count="2">
    <mergeCell ref="A3:D3"/>
    <mergeCell ref="A2:D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